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Раскрытие инфы на сайте\19д\"/>
    </mc:Choice>
  </mc:AlternateContent>
  <xr:revisionPtr revIDLastSave="0" documentId="13_ncr:1_{6FA23537-711A-4F59-98AE-79505EC75486}" xr6:coauthVersionLast="47" xr6:coauthVersionMax="47" xr10:uidLastSave="{00000000-0000-0000-0000-000000000000}"/>
  <bookViews>
    <workbookView xWindow="-120" yWindow="-120" windowWidth="29040" windowHeight="15840" firstSheet="11" activeTab="11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state="hidden" r:id="rId5"/>
    <sheet name="июнь" sheetId="7" state="hidden" r:id="rId6"/>
    <sheet name="июль" sheetId="8" state="hidden" r:id="rId7"/>
    <sheet name="август" sheetId="9" state="hidden" r:id="rId8"/>
    <sheet name="сентябрь" sheetId="10" state="hidden" r:id="rId9"/>
    <sheet name="октябрь" sheetId="11" state="hidden" r:id="rId10"/>
    <sheet name="ноябрь" sheetId="12" state="hidden" r:id="rId11"/>
    <sheet name="декабрь" sheetId="13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февраль!$A$1:$K$21</definedName>
    <definedName name="_xlnm.Print_Area" localSheetId="0">январь!$A$1:$K$21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3" l="1"/>
  <c r="F7" i="13"/>
  <c r="I8" i="13"/>
  <c r="I7" i="13"/>
  <c r="C8" i="13"/>
  <c r="C7" i="13"/>
  <c r="O11" i="13" l="1"/>
  <c r="P11" i="13" s="1"/>
  <c r="G11" i="13" l="1"/>
  <c r="I7" i="12"/>
  <c r="F7" i="12"/>
  <c r="C7" i="12"/>
  <c r="I8" i="12"/>
  <c r="F8" i="12"/>
  <c r="C8" i="12"/>
  <c r="I7" i="11"/>
  <c r="M7" i="11" l="1"/>
  <c r="I8" i="11"/>
  <c r="F8" i="11"/>
  <c r="C8" i="11"/>
  <c r="F7" i="11"/>
  <c r="C7" i="11"/>
  <c r="F8" i="7" l="1"/>
  <c r="F8" i="8" s="1"/>
  <c r="F8" i="9" s="1"/>
  <c r="I8" i="6"/>
  <c r="I8" i="7" s="1"/>
  <c r="I8" i="8" s="1"/>
  <c r="I8" i="9" s="1"/>
  <c r="F8" i="6"/>
  <c r="C8" i="6"/>
  <c r="C8" i="7" s="1"/>
  <c r="C8" i="8" s="1"/>
  <c r="C8" i="9" s="1"/>
  <c r="I8" i="5"/>
  <c r="I7" i="3"/>
  <c r="I7" i="4" s="1"/>
  <c r="F7" i="3"/>
  <c r="F7" i="4" s="1"/>
  <c r="F7" i="5" s="1"/>
  <c r="F7" i="6" s="1"/>
  <c r="F7" i="7" s="1"/>
  <c r="F7" i="8" s="1"/>
  <c r="F7" i="9" s="1"/>
  <c r="F7" i="10" s="1"/>
  <c r="I7" i="2"/>
  <c r="F7" i="2"/>
  <c r="C7" i="2"/>
  <c r="C7" i="3" s="1"/>
  <c r="C7" i="4" s="1"/>
  <c r="C7" i="5" s="1"/>
  <c r="C7" i="6" s="1"/>
  <c r="C7" i="7" s="1"/>
  <c r="C7" i="8" s="1"/>
  <c r="C7" i="9" s="1"/>
  <c r="C7" i="10" s="1"/>
  <c r="D11" i="13"/>
  <c r="D8" i="13"/>
  <c r="I11" i="13"/>
  <c r="F11" i="13"/>
  <c r="C11" i="13"/>
  <c r="G7" i="10"/>
  <c r="G7" i="13" s="1"/>
  <c r="D7" i="10"/>
  <c r="D7" i="13" s="1"/>
  <c r="J7" i="10"/>
  <c r="J7" i="13" s="1"/>
  <c r="I11" i="10"/>
  <c r="C11" i="10"/>
  <c r="F11" i="10"/>
  <c r="J8" i="10"/>
  <c r="J8" i="13"/>
  <c r="D8" i="10"/>
  <c r="G11" i="10"/>
  <c r="G8" i="10"/>
  <c r="G8" i="13"/>
  <c r="D11" i="10"/>
  <c r="M7" i="2"/>
  <c r="N7" i="2"/>
  <c r="J11" i="10"/>
  <c r="C8" i="10" l="1"/>
  <c r="I8" i="10"/>
  <c r="F8" i="10"/>
  <c r="I7" i="5"/>
  <c r="M7" i="4"/>
  <c r="N7" i="4" s="1"/>
  <c r="M7" i="3"/>
  <c r="N7" i="3" s="1"/>
  <c r="I7" i="6" l="1"/>
  <c r="M7" i="5"/>
  <c r="N7" i="5" s="1"/>
  <c r="I7" i="7" l="1"/>
  <c r="M7" i="6"/>
  <c r="N7" i="6" s="1"/>
  <c r="I7" i="8" l="1"/>
  <c r="M7" i="7"/>
  <c r="N7" i="7" s="1"/>
  <c r="I7" i="9" l="1"/>
  <c r="M7" i="8"/>
  <c r="N7" i="8" s="1"/>
  <c r="I7" i="10" l="1"/>
  <c r="M7" i="9"/>
  <c r="N7" i="9" s="1"/>
  <c r="M7" i="10" l="1"/>
  <c r="N7" i="10" s="1"/>
  <c r="N7" i="11" l="1"/>
  <c r="M7" i="12" l="1"/>
  <c r="N7" i="12" s="1"/>
  <c r="M7" i="13" l="1"/>
  <c r="N7" i="13" s="1"/>
</calcChain>
</file>

<file path=xl/sharedStrings.xml><?xml version="1.0" encoding="utf-8"?>
<sst xmlns="http://schemas.openxmlformats.org/spreadsheetml/2006/main" count="348" uniqueCount="36">
  <si>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</si>
  <si>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</si>
  <si>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</si>
  <si>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</si>
  <si>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</si>
  <si>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</si>
  <si>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</si>
  <si>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</si>
  <si>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</si>
  <si>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</si>
  <si>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</si>
  <si>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</si>
  <si>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</si>
  <si>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</si>
  <si>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</si>
  <si>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</si>
  <si>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</si>
  <si>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От 670 кВт - всего</t>
  </si>
  <si>
    <t xml:space="preserve">Приложение N 4
к стандартам раскрытия информации
субъектами оптового и розничных
рынков электрической энергии
</t>
  </si>
  <si>
    <t>Генеральный директор ООО ЭСК "Энергия"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</si>
  <si>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2024 года</t>
  </si>
  <si>
    <t>ИНФОРМАЦИЯ
об осуществлении технологического присоединения
по договорам, заключенным ООО ЭСК "Энергия"
за февраль 2024 года</t>
  </si>
  <si>
    <t>Генеральный 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</si>
  <si>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март 2024 года</t>
  </si>
  <si>
    <t>Генеральный директор ООО ЭСК "Энергия"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</si>
  <si>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апрель 2024 года</t>
  </si>
  <si>
    <t>Генеральный директор ООО ЭСК "Энергия"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</si>
  <si>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май 2024 года</t>
  </si>
  <si>
    <t>Генеральный директор ООО ЭСК "Энергия"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</si>
  <si>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июнь 2024 года</t>
  </si>
  <si>
    <t>ИНФОРМАЦИЯ
об осуществлении технологического присоединения
по договорам, заключенным ООО ЭСК "Энергия"
за июль 2024 года</t>
  </si>
  <si>
    <t>ИНФОРМАЦИЯ
об осуществлении технологического присоединения
по договорам, заключенным ООО ЭСК "Энергия"
за август 2024 года</t>
  </si>
  <si>
    <t>ИНФОРМАЦИЯ
об осуществлении технологического присоединения
по договорам, заключенным ООО ЭСК "Энергия"
за сентябрь 2024 года</t>
  </si>
  <si>
    <t>ИНФОРМАЦИЯ
об осуществлении технологического присоединения
по договорам, заключенным ООО ЭСК "Энергия"
за октябрь 2024 года</t>
  </si>
  <si>
    <t>ИНФОРМАЦИЯ
об осуществлении технологического присоединения
по договорам, заключенным ООО ЭСК "Энергия"
за ноябрь 2024 года</t>
  </si>
  <si>
    <t>ИНФОРМАЦИЯ
об осуществлении технологического присоединения
по договорам, заключенным ООО ЭСК "Энергия"
за 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</si>
</sst>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#,##0.00000"/>
    <numFmt numFmtId="167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2"/>
    </xf>
    <xf numFmtId="0" fontId="5" fillId="0" borderId="2" xfId="1" applyBorder="1" applyAlignment="1">
      <alignment horizontal="left" vertical="center" wrapText="1" indent="2"/>
    </xf>
    <xf numFmtId="164" fontId="4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3" fillId="0" borderId="2" xfId="0" applyFont="1" applyBorder="1" applyAlignment="1">
      <alignment vertical="center" wrapText="1"/>
    </xf>
    <xf numFmtId="165" fontId="0" fillId="0" borderId="0" xfId="0" applyNumberFormat="1"/>
    <xf numFmtId="4" fontId="4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2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167" fontId="4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view="pageBreakPreview" topLeftCell="A10" zoomScaleNormal="100" zoomScaleSheetLayoutView="100" workbookViewId="0">
      <selection activeCell="E24" sqref="E24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12</f>
        <v>12</v>
      </c>
      <c r="D7" s="2"/>
      <c r="E7" s="2"/>
      <c r="F7" s="6">
        <f>132</f>
        <v>132</v>
      </c>
      <c r="G7" s="6"/>
      <c r="H7" s="2"/>
      <c r="I7" s="3">
        <f>376.124/1.2</f>
        <v>313.43666666666672</v>
      </c>
      <c r="J7" s="2"/>
      <c r="K7" s="2"/>
      <c r="M7" s="7">
        <f>I7+I8+J8+J11</f>
        <v>313.43666666666672</v>
      </c>
      <c r="N7">
        <f>M7*1.2</f>
        <v>376.12400000000008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1"/>
  <sheetViews>
    <sheetView view="pageBreakPreview" zoomScaleNormal="100" zoomScaleSheetLayoutView="100" workbookViewId="0">
      <selection activeCell="N10" sqref="N10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январь!C7+10</f>
        <v>22</v>
      </c>
      <c r="D7" s="2"/>
      <c r="E7" s="2"/>
      <c r="F7" s="6">
        <f>январь!F7+124.5</f>
        <v>256.5</v>
      </c>
      <c r="G7" s="6"/>
      <c r="H7" s="2"/>
      <c r="I7" s="3">
        <f>январь!I7+385.168/1.2</f>
        <v>634.41000000000008</v>
      </c>
      <c r="J7" s="3"/>
      <c r="K7" s="2"/>
      <c r="M7" s="9">
        <f>I7+I8+J8+J7</f>
        <v>634.41000000000008</v>
      </c>
      <c r="N7">
        <f>M7*1.2</f>
        <v>761.29200000000003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zoomScaleNormal="100" zoomScaleSheetLayoutView="100" workbookViewId="0">
      <selection activeCell="B26" sqref="B26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февраль!C7+4</f>
        <v>26</v>
      </c>
      <c r="D7" s="2"/>
      <c r="E7" s="2"/>
      <c r="F7" s="6">
        <f>февраль!F7+50</f>
        <v>306.5</v>
      </c>
      <c r="G7" s="6"/>
      <c r="H7" s="2"/>
      <c r="I7" s="3">
        <f>февраль!I7+178.67351/1.2</f>
        <v>783.30459166666674</v>
      </c>
      <c r="J7" s="3"/>
      <c r="K7" s="2"/>
      <c r="M7" s="9">
        <f>I7+I8+J7+J11</f>
        <v>783.30459166666674</v>
      </c>
      <c r="N7">
        <f>M7*1.2</f>
        <v>939.96550999999999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6.28515625" customWidth="1"/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1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март!C7+6</f>
        <v>32</v>
      </c>
      <c r="D7" s="2"/>
      <c r="E7" s="2"/>
      <c r="F7" s="6">
        <f>март!F7+73.5</f>
        <v>380</v>
      </c>
      <c r="G7" s="6"/>
      <c r="H7" s="2"/>
      <c r="I7" s="10">
        <f>март!I7+296.33796/1.2</f>
        <v>1030.2528916666668</v>
      </c>
      <c r="J7" s="3"/>
      <c r="K7" s="2"/>
      <c r="M7" s="12">
        <f>I7+I8+J7+J11</f>
        <v>1160.2274333333335</v>
      </c>
      <c r="N7" s="12">
        <f>M7*1.2</f>
        <v>1392.2729200000001</v>
      </c>
    </row>
    <row r="8" spans="1:16" x14ac:dyDescent="0.25">
      <c r="A8" s="1">
        <v>2</v>
      </c>
      <c r="B8" s="2" t="s">
        <v>11</v>
      </c>
      <c r="C8" s="2">
        <v>1</v>
      </c>
      <c r="D8" s="2"/>
      <c r="E8" s="2"/>
      <c r="F8" s="6">
        <v>50</v>
      </c>
      <c r="G8" s="6"/>
      <c r="H8" s="2"/>
      <c r="I8" s="10">
        <f>155.96945/1.2</f>
        <v>129.97454166666668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view="pageBreakPreview" zoomScaleNormal="100" zoomScaleSheetLayoutView="100" workbookViewId="0">
      <selection activeCell="A18" sqref="A18:K1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апрель!C7+19</f>
        <v>51</v>
      </c>
      <c r="D7" s="2"/>
      <c r="E7" s="2"/>
      <c r="F7" s="6">
        <f>апрель!F7+259</f>
        <v>639</v>
      </c>
      <c r="G7" s="6"/>
      <c r="H7" s="2"/>
      <c r="I7" s="10">
        <f>апрель!I7+997.02204/1.2</f>
        <v>1861.1045916666667</v>
      </c>
      <c r="J7" s="10"/>
      <c r="K7" s="2"/>
      <c r="M7" s="11">
        <f>I7+I8+J7+J11+I11</f>
        <v>2513.7636000000002</v>
      </c>
      <c r="N7" s="12">
        <f>M7*1.2</f>
        <v>3016.5163200000002</v>
      </c>
    </row>
    <row r="8" spans="1:16" x14ac:dyDescent="0.25">
      <c r="A8" s="1">
        <v>2</v>
      </c>
      <c r="B8" s="2" t="s">
        <v>11</v>
      </c>
      <c r="C8" s="2">
        <f>апрель!C8+6</f>
        <v>7</v>
      </c>
      <c r="D8" s="2"/>
      <c r="E8" s="2"/>
      <c r="F8" s="6">
        <f>апрель!F8+230</f>
        <v>280</v>
      </c>
      <c r="G8" s="6"/>
      <c r="H8" s="2"/>
      <c r="I8" s="10">
        <f>апрель!I8+627.22136/1.2</f>
        <v>652.65900833333342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view="pageBreakPreview" topLeftCell="A4" zoomScaleNormal="100" zoomScaleSheetLayoutView="100" workbookViewId="0">
      <selection activeCell="A21" sqref="A21:K2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май!C7+7</f>
        <v>58</v>
      </c>
      <c r="D7" s="2"/>
      <c r="E7" s="2"/>
      <c r="F7" s="6">
        <f>май!F7+83</f>
        <v>722</v>
      </c>
      <c r="G7" s="6"/>
      <c r="H7" s="2"/>
      <c r="I7" s="10">
        <f>май!I7+325.30771/1.2</f>
        <v>2132.1943500000002</v>
      </c>
      <c r="J7" s="10"/>
      <c r="K7" s="2"/>
      <c r="M7" s="11">
        <f>I7+I8+J7+J11+I11</f>
        <v>3137.6322333333337</v>
      </c>
      <c r="N7" s="12">
        <f>M7*1.2</f>
        <v>3765.1586800000005</v>
      </c>
    </row>
    <row r="8" spans="1:16" x14ac:dyDescent="0.25">
      <c r="A8" s="1">
        <v>2</v>
      </c>
      <c r="B8" s="2" t="s">
        <v>11</v>
      </c>
      <c r="C8" s="2">
        <f>май!C8+4</f>
        <v>11</v>
      </c>
      <c r="D8" s="2"/>
      <c r="E8" s="2"/>
      <c r="F8" s="6">
        <f>май!F8+101</f>
        <v>381</v>
      </c>
      <c r="G8" s="6"/>
      <c r="H8" s="2"/>
      <c r="I8" s="10">
        <f>май!I8+423.33465/1.2</f>
        <v>1005.4378833333335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view="pageBreakPreview" zoomScaleNormal="100" zoomScaleSheetLayoutView="100" workbookViewId="0">
      <selection activeCell="I7" sqref="I7:I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июнь!C7+12</f>
        <v>70</v>
      </c>
      <c r="D7" s="2"/>
      <c r="E7" s="2"/>
      <c r="F7" s="6">
        <f>июнь!F7+127</f>
        <v>849</v>
      </c>
      <c r="G7" s="6"/>
      <c r="H7" s="2"/>
      <c r="I7" s="10">
        <f>июнь!I7+489.07572/1.2</f>
        <v>2539.7574500000001</v>
      </c>
      <c r="J7" s="10"/>
      <c r="K7" s="2"/>
      <c r="M7" s="11">
        <f>I7+I8+J8+J11+I11</f>
        <v>3545.1953333333336</v>
      </c>
      <c r="N7" s="12">
        <f>M7*1.2</f>
        <v>4254.2344000000003</v>
      </c>
    </row>
    <row r="8" spans="1:16" x14ac:dyDescent="0.25">
      <c r="A8" s="1">
        <v>2</v>
      </c>
      <c r="B8" s="2" t="s">
        <v>11</v>
      </c>
      <c r="C8" s="2">
        <f>июнь!C8</f>
        <v>11</v>
      </c>
      <c r="D8" s="2"/>
      <c r="E8" s="2"/>
      <c r="F8" s="6">
        <f>июнь!F8</f>
        <v>381</v>
      </c>
      <c r="G8" s="6"/>
      <c r="H8" s="2"/>
      <c r="I8" s="10">
        <f>июнь!I8</f>
        <v>1005.4378833333335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zoomScaleNormal="100" zoomScaleSheetLayoutView="100" workbookViewId="0">
      <selection activeCell="I7" sqref="I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июль!C7+6</f>
        <v>76</v>
      </c>
      <c r="D7" s="2"/>
      <c r="E7" s="2"/>
      <c r="F7" s="6">
        <f>июль!F7+66</f>
        <v>915</v>
      </c>
      <c r="G7" s="6"/>
      <c r="H7" s="2"/>
      <c r="I7" s="10">
        <f>июль!I7+370.42572/1.2</f>
        <v>2848.4455499999999</v>
      </c>
      <c r="J7" s="10"/>
      <c r="K7" s="2"/>
      <c r="M7" s="11">
        <f>I7+I8+J8+J11+I11+J7</f>
        <v>3853.8834333333334</v>
      </c>
      <c r="N7" s="12">
        <f>M7*1.2</f>
        <v>4624.6601199999996</v>
      </c>
    </row>
    <row r="8" spans="1:16" x14ac:dyDescent="0.25">
      <c r="A8" s="1">
        <v>2</v>
      </c>
      <c r="B8" s="2" t="s">
        <v>11</v>
      </c>
      <c r="C8" s="2">
        <f>июль!C8</f>
        <v>11</v>
      </c>
      <c r="D8" s="2"/>
      <c r="E8" s="2"/>
      <c r="F8" s="6">
        <f>июль!F8</f>
        <v>381</v>
      </c>
      <c r="G8" s="6"/>
      <c r="H8" s="2"/>
      <c r="I8" s="10">
        <f>июль!I8</f>
        <v>1005.4378833333335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topLeftCell="G1" zoomScaleNormal="100" zoomScaleSheetLayoutView="100" workbookViewId="0">
      <selection activeCell="M7" sqref="M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август!C7+1</f>
        <v>77</v>
      </c>
      <c r="D7" s="2">
        <f>август!D7</f>
        <v>0</v>
      </c>
      <c r="E7" s="2"/>
      <c r="F7" s="6">
        <f>август!F7+3</f>
        <v>918</v>
      </c>
      <c r="G7" s="6">
        <f>август!G7</f>
        <v>0</v>
      </c>
      <c r="H7" s="2"/>
      <c r="I7" s="14">
        <f>август!I7+21000/1000/1.2</f>
        <v>2865.9455499999999</v>
      </c>
      <c r="J7" s="10">
        <f>август!J7</f>
        <v>0</v>
      </c>
      <c r="K7" s="2"/>
      <c r="M7" s="11">
        <f>I7+I8+J8+J11+I11+J7</f>
        <v>3871.3834333333334</v>
      </c>
      <c r="N7" s="12">
        <f>M7*1.2</f>
        <v>4645.6601199999996</v>
      </c>
    </row>
    <row r="8" spans="1:16" x14ac:dyDescent="0.25">
      <c r="A8" s="1">
        <v>2</v>
      </c>
      <c r="B8" s="2" t="s">
        <v>11</v>
      </c>
      <c r="C8" s="2">
        <f>август!C8</f>
        <v>11</v>
      </c>
      <c r="D8" s="2">
        <f>август!D8</f>
        <v>0</v>
      </c>
      <c r="E8" s="2"/>
      <c r="F8" s="6">
        <f>август!F8</f>
        <v>381</v>
      </c>
      <c r="G8" s="6">
        <f>август!G8</f>
        <v>0</v>
      </c>
      <c r="H8" s="2"/>
      <c r="I8" s="14">
        <f>август!I8</f>
        <v>1005.4378833333335</v>
      </c>
      <c r="J8" s="10">
        <f>август!J8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0</v>
      </c>
      <c r="D11" s="2">
        <f>август!D11</f>
        <v>0</v>
      </c>
      <c r="E11" s="2"/>
      <c r="F11" s="2">
        <f>август!F11</f>
        <v>0</v>
      </c>
      <c r="G11" s="6">
        <f>август!G11</f>
        <v>0</v>
      </c>
      <c r="H11" s="2"/>
      <c r="I11" s="10">
        <f>август!I11</f>
        <v>0</v>
      </c>
      <c r="J11" s="14">
        <f>август!J11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zoomScaleNormal="100" zoomScaleSheetLayoutView="100" workbookViewId="0">
      <selection activeCell="A18" sqref="A18:K1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сентябрь!C7+5</f>
        <v>82</v>
      </c>
      <c r="D7" s="2"/>
      <c r="E7" s="2"/>
      <c r="F7" s="15">
        <f>сентябрь!F7+39.5</f>
        <v>957.5</v>
      </c>
      <c r="G7" s="6"/>
      <c r="H7" s="2"/>
      <c r="I7" s="10">
        <f>сентябрь!I7+220.86217/1.2</f>
        <v>3049.9973583333331</v>
      </c>
      <c r="J7" s="10"/>
      <c r="K7" s="2"/>
      <c r="M7" s="11">
        <f>I7+I8+J8+J11+I11+J7</f>
        <v>5273.2164833333336</v>
      </c>
      <c r="N7" s="12">
        <f>M7*1.2</f>
        <v>6327.8597799999998</v>
      </c>
    </row>
    <row r="8" spans="1:16" x14ac:dyDescent="0.25">
      <c r="A8" s="1">
        <v>2</v>
      </c>
      <c r="B8" s="2" t="s">
        <v>11</v>
      </c>
      <c r="C8" s="2">
        <f>сентябрь!C8+1</f>
        <v>12</v>
      </c>
      <c r="D8" s="2"/>
      <c r="E8" s="2"/>
      <c r="F8" s="6">
        <f>сентябрь!F8+100</f>
        <v>481</v>
      </c>
      <c r="G8" s="6"/>
      <c r="H8" s="2"/>
      <c r="I8" s="10">
        <f>сентябрь!I8+1461.33749/1.2</f>
        <v>2223.2191250000001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view="pageBreakPreview" zoomScaleNormal="100" zoomScaleSheetLayoutView="100" workbookViewId="0">
      <selection activeCell="N7" sqref="N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октябрь!C7+8</f>
        <v>90</v>
      </c>
      <c r="D7" s="2"/>
      <c r="E7" s="2"/>
      <c r="F7" s="10">
        <f>октябрь!F7+114</f>
        <v>1071.5</v>
      </c>
      <c r="G7" s="10"/>
      <c r="H7" s="2"/>
      <c r="I7" s="10">
        <f>октябрь!I7+658.34705/1.2</f>
        <v>3598.6198999999997</v>
      </c>
      <c r="J7" s="10"/>
      <c r="K7" s="2"/>
      <c r="M7" s="11">
        <f>I7+I8+J8+J11+I11+J7</f>
        <v>5821.8390249999993</v>
      </c>
      <c r="N7" s="12">
        <f>M7*1.2</f>
        <v>6986.2068299999992</v>
      </c>
    </row>
    <row r="8" spans="1:16" x14ac:dyDescent="0.25">
      <c r="A8" s="1">
        <v>2</v>
      </c>
      <c r="B8" s="2" t="s">
        <v>11</v>
      </c>
      <c r="C8" s="2">
        <f>октябрь!C8</f>
        <v>12</v>
      </c>
      <c r="D8" s="2"/>
      <c r="E8" s="2"/>
      <c r="F8" s="10">
        <f>октябрь!F8</f>
        <v>481</v>
      </c>
      <c r="G8" s="10"/>
      <c r="H8" s="2"/>
      <c r="I8" s="10">
        <f>октябрь!I8</f>
        <v>2223.2191250000001</v>
      </c>
      <c r="J8" s="10"/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tabSelected="1" view="pageBreakPreview" topLeftCell="A7" zoomScaleNormal="100" zoomScaleSheetLayoutView="100" workbookViewId="0">
      <selection activeCell="A3" sqref="A3:B4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  <col min="15" max="15" width="17" customWidth="1"/>
    <col min="16" max="16" width="17.85546875" customWidth="1"/>
  </cols>
  <sheetData>
    <row r="1" spans="1:16" ht="81.75" customHeight="1" x14ac:dyDescent="0.2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ноябрь!C7+14</f>
        <v>104</v>
      </c>
      <c r="D7" s="2">
        <f>ноябрь!D7</f>
        <v>0</v>
      </c>
      <c r="E7" s="2"/>
      <c r="F7" s="15">
        <f>ноябрь!F7+192</f>
        <v>1263.5</v>
      </c>
      <c r="G7" s="6">
        <f>ноябрь!G7</f>
        <v>0</v>
      </c>
      <c r="H7" s="2"/>
      <c r="I7" s="10">
        <f>ноябрь!I7+998899.63/1000/1.2</f>
        <v>4431.0362583333335</v>
      </c>
      <c r="J7" s="10">
        <f>ноябрь!J7</f>
        <v>0</v>
      </c>
      <c r="K7" s="2"/>
      <c r="M7" s="11">
        <f>I7+I8+J8+J11+I11</f>
        <v>9585.7537583333342</v>
      </c>
      <c r="N7" s="12">
        <f>M7*1.2</f>
        <v>11502.90451</v>
      </c>
    </row>
    <row r="8" spans="1:16" x14ac:dyDescent="0.25">
      <c r="A8" s="1">
        <v>2</v>
      </c>
      <c r="B8" s="2" t="s">
        <v>11</v>
      </c>
      <c r="C8" s="2">
        <f>ноябрь!C8+2</f>
        <v>14</v>
      </c>
      <c r="D8" s="2">
        <f>ноябрь!D8</f>
        <v>0</v>
      </c>
      <c r="E8" s="2"/>
      <c r="F8" s="6">
        <f>ноябрь!F8+171.4</f>
        <v>652.4</v>
      </c>
      <c r="G8" s="6">
        <f>ноябрь!G8</f>
        <v>0</v>
      </c>
      <c r="H8" s="2"/>
      <c r="I8" s="10">
        <f>ноябрь!I8+3517798.05/1000/1.2</f>
        <v>5154.7175000000007</v>
      </c>
      <c r="J8" s="10">
        <f>ноябрь!J8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</f>
        <v>0</v>
      </c>
      <c r="D11" s="2">
        <f>ноябрь!D11+2</f>
        <v>2</v>
      </c>
      <c r="E11" s="2"/>
      <c r="F11" s="2">
        <f>ноябрь!F11</f>
        <v>0</v>
      </c>
      <c r="G11" s="6">
        <f>ноябрь!G11</f>
        <v>0</v>
      </c>
      <c r="H11" s="2"/>
      <c r="I11" s="10">
        <f>ноябрь!I11</f>
        <v>0</v>
      </c>
      <c r="J11" s="10"/>
      <c r="K11" s="2"/>
      <c r="O11" s="11">
        <f>I7+J7+I8+J11</f>
        <v>9585.7537583333342</v>
      </c>
      <c r="P11" s="9">
        <f>O11*1.2</f>
        <v>11502.90451</v>
      </c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Пользователь</cp:lastModifiedBy>
  <cp:lastPrinted>2021-11-01T02:32:19Z</cp:lastPrinted>
  <dcterms:created xsi:type="dcterms:W3CDTF">2015-06-05T18:19:34Z</dcterms:created>
  <dcterms:modified xsi:type="dcterms:W3CDTF">2024-12-28T09:22:28Z</dcterms:modified>
</cp:coreProperties>
</file>