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"/>
    </mc:Choice>
  </mc:AlternateContent>
  <xr:revisionPtr revIDLastSave="0" documentId="13_ncr:1_{93DE4E5E-FBA5-4ABB-BF8E-5A9CB4525741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6" l="1"/>
  <c r="F8" i="6"/>
  <c r="C8" i="6"/>
  <c r="I7" i="6"/>
  <c r="I7" i="7" s="1"/>
  <c r="I7" i="8" s="1"/>
  <c r="F7" i="6"/>
  <c r="C7" i="6"/>
  <c r="C7" i="5"/>
  <c r="C7" i="7" s="1"/>
  <c r="C7" i="8" s="1"/>
  <c r="C7" i="9" s="1"/>
  <c r="C7" i="10" s="1"/>
  <c r="C7" i="11" s="1"/>
  <c r="C7" i="12" s="1"/>
  <c r="C7" i="13" s="1"/>
  <c r="F8" i="7"/>
  <c r="F8" i="8" s="1"/>
  <c r="F8" i="9" s="1"/>
  <c r="F8" i="10" s="1"/>
  <c r="F8" i="11" s="1"/>
  <c r="F8" i="12" s="1"/>
  <c r="F8" i="13" s="1"/>
  <c r="M7" i="5"/>
  <c r="I8" i="5"/>
  <c r="I7" i="5"/>
  <c r="F7" i="5"/>
  <c r="I7" i="4"/>
  <c r="F7" i="4"/>
  <c r="C7" i="4"/>
  <c r="I7" i="3"/>
  <c r="F7" i="3"/>
  <c r="C7" i="3"/>
  <c r="I7" i="2"/>
  <c r="F7" i="2"/>
  <c r="C7" i="2"/>
  <c r="J11" i="13"/>
  <c r="G11" i="13"/>
  <c r="D11" i="13"/>
  <c r="D8" i="13"/>
  <c r="I11" i="13"/>
  <c r="F11" i="13"/>
  <c r="C11" i="13"/>
  <c r="G8" i="8"/>
  <c r="G7" i="7"/>
  <c r="G7" i="8"/>
  <c r="G7" i="9"/>
  <c r="G7" i="10" s="1"/>
  <c r="G7" i="11" s="1"/>
  <c r="G7" i="12" s="1"/>
  <c r="G7" i="13" s="1"/>
  <c r="D7" i="7"/>
  <c r="D7" i="8"/>
  <c r="D7" i="9"/>
  <c r="D7" i="10" s="1"/>
  <c r="D7" i="11" s="1"/>
  <c r="D7" i="12" s="1"/>
  <c r="D7" i="13" s="1"/>
  <c r="J7" i="7"/>
  <c r="J7" i="8" s="1"/>
  <c r="J7" i="9" s="1"/>
  <c r="J7" i="10" s="1"/>
  <c r="J7" i="11" s="1"/>
  <c r="J7" i="12" s="1"/>
  <c r="J7" i="13" s="1"/>
  <c r="F7" i="7"/>
  <c r="F7" i="8" s="1"/>
  <c r="F7" i="9" s="1"/>
  <c r="F7" i="10" s="1"/>
  <c r="F7" i="11" s="1"/>
  <c r="F7" i="12" s="1"/>
  <c r="F7" i="13" s="1"/>
  <c r="M7" i="4"/>
  <c r="M7" i="3"/>
  <c r="I11" i="9"/>
  <c r="I11" i="10"/>
  <c r="C11" i="9"/>
  <c r="C11" i="10"/>
  <c r="F11" i="9"/>
  <c r="F11" i="10"/>
  <c r="J8" i="9"/>
  <c r="J8" i="10"/>
  <c r="J8" i="13"/>
  <c r="G11" i="9"/>
  <c r="D8" i="9"/>
  <c r="D8" i="10"/>
  <c r="I8" i="7"/>
  <c r="I8" i="8" s="1"/>
  <c r="I8" i="9" s="1"/>
  <c r="I8" i="10" s="1"/>
  <c r="I8" i="11" s="1"/>
  <c r="I8" i="12" s="1"/>
  <c r="I8" i="13" s="1"/>
  <c r="G11" i="10"/>
  <c r="C8" i="7"/>
  <c r="G8" i="9"/>
  <c r="G8" i="10"/>
  <c r="G8" i="13"/>
  <c r="C8" i="8"/>
  <c r="C8" i="9" s="1"/>
  <c r="C8" i="10" s="1"/>
  <c r="C8" i="11" s="1"/>
  <c r="C8" i="12" s="1"/>
  <c r="C8" i="13" s="1"/>
  <c r="D11" i="9"/>
  <c r="D11" i="10"/>
  <c r="M7" i="2"/>
  <c r="N7" i="2"/>
  <c r="N7" i="3"/>
  <c r="N7" i="4"/>
  <c r="N7" i="5"/>
  <c r="J11" i="9"/>
  <c r="J11" i="10"/>
  <c r="M7" i="6" l="1"/>
  <c r="N7" i="6" s="1"/>
  <c r="M7" i="7"/>
  <c r="N7" i="7" s="1"/>
  <c r="I7" i="9"/>
  <c r="M7" i="8"/>
  <c r="N7" i="8" s="1"/>
  <c r="I7" i="10" l="1"/>
  <c r="M7" i="9"/>
  <c r="N7" i="9" s="1"/>
  <c r="M7" i="10" l="1"/>
  <c r="N7" i="10" s="1"/>
  <c r="I7" i="11"/>
  <c r="M7" i="11" l="1"/>
  <c r="N7" i="11" s="1"/>
  <c r="I7" i="12"/>
  <c r="I7" i="13" l="1"/>
  <c r="M7" i="12"/>
  <c r="N7" i="12" s="1"/>
  <c r="M7" i="13" l="1"/>
  <c r="N7" i="13" s="1"/>
  <c r="O11" i="13"/>
  <c r="P11" i="13" s="1"/>
</calcChain>
</file>

<file path=xl/sharedStrings.xml><?xml version="1.0" encoding="utf-8"?>
<sst xmlns="http://schemas.openxmlformats.org/spreadsheetml/2006/main" count="348" uniqueCount="36">
  <si>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</si>
  <si>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</si>
  <si>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</si>
  <si>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</si>
  <si>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</si>
  <si>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</si>
  <si>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</si>
  <si>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</si>
  <si>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</si>
  <si>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</si>
  <si>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</si>
  <si>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</si>
  <si>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</si>
  <si>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</si>
  <si>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</si>
  <si>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</si>
  <si>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</si>
  <si>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</si>
  <si>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август 2022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</si>
  <si>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</si>
  <si>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июнь 2023 года</t>
  </si>
  <si>
    <t>ИНФОРМАЦИЯ
об осуществлении технологического присоединения
по договорам, заключенным ООО ЭСК "Энергия"
за июль 2023 года</t>
  </si>
  <si>
    <t>ИНФОРМАЦИЯ
об осуществлении технологического присоединения
по договорам, заключенным ООО ЭСК "Энергия"
за сентябрь 2023 года</t>
  </si>
  <si>
    <t>ИНФОРМАЦИЯ
об осуществлении технологического присоединения
по договорам, заключенным ООО ЭСК "Энергия"
за октябрь 2023 года</t>
  </si>
  <si>
    <t>ИНФОРМАЦИЯ
об осуществлении технологического присоединения
по договорам, заключенным ООО ЭСК "Энергия"
за ноябрь 2023 года</t>
  </si>
  <si>
    <t>Генеральный директор ООО ЭСК "Энергия"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</si>
  <si>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декабрь 2023 года</t>
  </si>
  <si>
    <t>ИНФОРМАЦИЯ
об осуществлении технологического присоединения
по договорам, заключенным ООО ЭСК "Энергия"
за январь 2024 года</t>
  </si>
  <si>
    <t>ИНФОРМАЦИЯ
об осуществлении технологического присоединения
по договорам, заключенным ООО ЭСК "Энергия"
за февраль 2024 года</t>
  </si>
  <si>
    <t>Генеральный 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</si>
  <si>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март 2024 года</t>
  </si>
  <si>
    <t>Генеральный директор ООО ЭСК "Энергия"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</si>
  <si>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апрель 2024 года</t>
  </si>
  <si>
    <t>Генеральный директор ООО ЭСК "Энергия"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</si>
  <si>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май 2024 года</t>
  </si>
  <si>
    <t>Генеральный директор ООО ЭСК "Энергия"                       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</si>
</sst>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#,##0.00000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5" fillId="0" borderId="2" xfId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3" fillId="0" borderId="2" xfId="0" applyFont="1" applyBorder="1" applyAlignment="1">
      <alignment vertical="center" wrapText="1"/>
    </xf>
    <xf numFmtId="165" fontId="0" fillId="0" borderId="0" xfId="0" applyNumberFormat="1"/>
    <xf numFmtId="4" fontId="4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67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view="pageBreakPreview" topLeftCell="A10" zoomScaleNormal="100" zoomScaleSheetLayoutView="100" workbookViewId="0">
      <selection activeCell="E24" sqref="E24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12</f>
        <v>12</v>
      </c>
      <c r="D7" s="2"/>
      <c r="E7" s="2"/>
      <c r="F7" s="6">
        <f>132</f>
        <v>132</v>
      </c>
      <c r="G7" s="6"/>
      <c r="H7" s="2"/>
      <c r="I7" s="3">
        <f>376.124/1.2</f>
        <v>313.43666666666672</v>
      </c>
      <c r="J7" s="2"/>
      <c r="K7" s="2"/>
      <c r="M7" s="7">
        <f>I7+I8+J8+J11</f>
        <v>313.43666666666672</v>
      </c>
      <c r="N7">
        <f>M7*1.2</f>
        <v>376.12400000000008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view="pageBreakPreview" zoomScaleNormal="100" zoomScaleSheetLayoutView="100" workbookViewId="0">
      <selection activeCell="N10" sqref="N10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январь!C7+10</f>
        <v>22</v>
      </c>
      <c r="D7" s="2"/>
      <c r="E7" s="2"/>
      <c r="F7" s="6">
        <f>январь!F7+124.5</f>
        <v>256.5</v>
      </c>
      <c r="G7" s="6"/>
      <c r="H7" s="2"/>
      <c r="I7" s="3">
        <f>январь!I7+385.168/1.2</f>
        <v>634.41000000000008</v>
      </c>
      <c r="J7" s="3"/>
      <c r="K7" s="2"/>
      <c r="M7" s="9">
        <f>I7+I8+J8+J7</f>
        <v>634.41000000000008</v>
      </c>
      <c r="N7">
        <f>M7*1.2</f>
        <v>761.29200000000003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B26" sqref="B26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февраль!C7+4</f>
        <v>26</v>
      </c>
      <c r="D7" s="2"/>
      <c r="E7" s="2"/>
      <c r="F7" s="6">
        <f>февраль!F7+50</f>
        <v>306.5</v>
      </c>
      <c r="G7" s="6"/>
      <c r="H7" s="2"/>
      <c r="I7" s="3">
        <f>февраль!I7+178.67351/1.2</f>
        <v>783.30459166666674</v>
      </c>
      <c r="J7" s="3"/>
      <c r="K7" s="2"/>
      <c r="M7" s="9">
        <f>I7+I8+J7+J11</f>
        <v>783.30459166666674</v>
      </c>
      <c r="N7">
        <f>M7*1.2</f>
        <v>939.96550999999999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6.28515625" customWidth="1"/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1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март!C7+6</f>
        <v>32</v>
      </c>
      <c r="D7" s="2"/>
      <c r="E7" s="2"/>
      <c r="F7" s="6">
        <f>март!F7+73.5</f>
        <v>380</v>
      </c>
      <c r="G7" s="6"/>
      <c r="H7" s="2"/>
      <c r="I7" s="10">
        <f>март!I7+296.33796/1.2</f>
        <v>1030.2528916666668</v>
      </c>
      <c r="J7" s="3"/>
      <c r="K7" s="2"/>
      <c r="M7" s="12">
        <f>I7+I8+J7+J11</f>
        <v>1160.2274333333335</v>
      </c>
      <c r="N7" s="12">
        <f>M7*1.2</f>
        <v>1392.2729200000001</v>
      </c>
    </row>
    <row r="8" spans="1:16" x14ac:dyDescent="0.25">
      <c r="A8" s="1">
        <v>2</v>
      </c>
      <c r="B8" s="2" t="s">
        <v>11</v>
      </c>
      <c r="C8" s="2">
        <v>1</v>
      </c>
      <c r="D8" s="2"/>
      <c r="E8" s="2"/>
      <c r="F8" s="6">
        <v>50</v>
      </c>
      <c r="G8" s="6"/>
      <c r="H8" s="2"/>
      <c r="I8" s="10">
        <f>155.96945/1.2</f>
        <v>129.97454166666668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tabSelected="1" view="pageBreakPreview" zoomScaleNormal="100" zoomScaleSheetLayoutView="100" workbookViewId="0">
      <selection activeCell="F24" sqref="F24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апрель!C7+19</f>
        <v>51</v>
      </c>
      <c r="D7" s="2"/>
      <c r="E7" s="2"/>
      <c r="F7" s="6">
        <f>апрель!F7+259</f>
        <v>639</v>
      </c>
      <c r="G7" s="6"/>
      <c r="H7" s="2"/>
      <c r="I7" s="10">
        <f>апрель!I7+997.02204/1.2</f>
        <v>1861.1045916666667</v>
      </c>
      <c r="J7" s="10"/>
      <c r="K7" s="2"/>
      <c r="M7" s="11">
        <f>I7+I8+J7+J11+I11</f>
        <v>2513.7636000000002</v>
      </c>
      <c r="N7" s="12">
        <f>M7*1.2</f>
        <v>3016.5163200000002</v>
      </c>
    </row>
    <row r="8" spans="1:16" x14ac:dyDescent="0.25">
      <c r="A8" s="1">
        <v>2</v>
      </c>
      <c r="B8" s="2" t="s">
        <v>11</v>
      </c>
      <c r="C8" s="2">
        <f>апрель!C8+6</f>
        <v>7</v>
      </c>
      <c r="D8" s="2"/>
      <c r="E8" s="2"/>
      <c r="F8" s="6">
        <f>апрель!F8+230</f>
        <v>280</v>
      </c>
      <c r="G8" s="6"/>
      <c r="H8" s="2"/>
      <c r="I8" s="10">
        <f>апрель!I8+627.22136/1.2</f>
        <v>652.65900833333342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май!C7+11</f>
        <v>62</v>
      </c>
      <c r="D7" s="2">
        <f>май!D7</f>
        <v>0</v>
      </c>
      <c r="E7" s="2"/>
      <c r="F7" s="6">
        <f>май!F7+129</f>
        <v>768</v>
      </c>
      <c r="G7" s="6">
        <f>май!G7</f>
        <v>0</v>
      </c>
      <c r="H7" s="2"/>
      <c r="I7" s="10">
        <f>май!I7+(337750/1000)/1.2</f>
        <v>2142.5629250000002</v>
      </c>
      <c r="J7" s="10">
        <f>май!J7</f>
        <v>0</v>
      </c>
      <c r="K7" s="2"/>
      <c r="M7" s="11">
        <f>I7+I8+J7+J11+I11</f>
        <v>2795.2219333333337</v>
      </c>
      <c r="N7" s="12">
        <f>M7*1.2</f>
        <v>3354.2663200000002</v>
      </c>
    </row>
    <row r="8" spans="1:16" x14ac:dyDescent="0.25">
      <c r="A8" s="1">
        <v>2</v>
      </c>
      <c r="B8" s="2" t="s">
        <v>11</v>
      </c>
      <c r="C8" s="2">
        <f>май!C8</f>
        <v>7</v>
      </c>
      <c r="D8" s="2"/>
      <c r="E8" s="2"/>
      <c r="F8" s="6">
        <f>май!F8</f>
        <v>280</v>
      </c>
      <c r="G8" s="6"/>
      <c r="H8" s="2"/>
      <c r="I8" s="10">
        <f>май!I8</f>
        <v>652.65900833333342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zoomScaleNormal="100" zoomScaleSheetLayoutView="100" workbookViewId="0">
      <selection activeCell="I7" sqref="I7:J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июнь!C7+7</f>
        <v>69</v>
      </c>
      <c r="D7" s="2">
        <f>июнь!D7</f>
        <v>0</v>
      </c>
      <c r="E7" s="2"/>
      <c r="F7" s="6">
        <f>июнь!F7+86</f>
        <v>854</v>
      </c>
      <c r="G7" s="6">
        <f>июнь!G7</f>
        <v>0</v>
      </c>
      <c r="H7" s="2"/>
      <c r="I7" s="10">
        <f>июнь!I7+251.46/1.2</f>
        <v>2352.1129250000004</v>
      </c>
      <c r="J7" s="10">
        <f>июнь!J7</f>
        <v>0</v>
      </c>
      <c r="K7" s="2"/>
      <c r="M7" s="11">
        <f>I7+I8+J8+J11+I11</f>
        <v>3004.7719333333339</v>
      </c>
      <c r="N7" s="12">
        <f>M7*1.2</f>
        <v>3605.7263200000007</v>
      </c>
    </row>
    <row r="8" spans="1:16" x14ac:dyDescent="0.25">
      <c r="A8" s="1">
        <v>2</v>
      </c>
      <c r="B8" s="2" t="s">
        <v>11</v>
      </c>
      <c r="C8" s="2">
        <f>июнь!C8</f>
        <v>7</v>
      </c>
      <c r="D8" s="2"/>
      <c r="E8" s="2"/>
      <c r="F8" s="6">
        <f>июнь!F8</f>
        <v>280</v>
      </c>
      <c r="G8" s="6">
        <f>июнь!G8</f>
        <v>0</v>
      </c>
      <c r="H8" s="2"/>
      <c r="I8" s="10">
        <f>июнь!I8</f>
        <v>652.65900833333342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topLeftCell="E1"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июль!C7+9</f>
        <v>78</v>
      </c>
      <c r="D7" s="2">
        <f>июль!D7</f>
        <v>0</v>
      </c>
      <c r="E7" s="2"/>
      <c r="F7" s="6">
        <f>июль!F7+93</f>
        <v>947</v>
      </c>
      <c r="G7" s="6">
        <f>июль!G7</f>
        <v>0</v>
      </c>
      <c r="H7" s="2"/>
      <c r="I7" s="10">
        <f>июль!I7+223972/1.2/1000</f>
        <v>2538.7562583333338</v>
      </c>
      <c r="J7" s="10">
        <f>июль!J7</f>
        <v>0</v>
      </c>
      <c r="K7" s="2"/>
      <c r="M7" s="11">
        <f>I7+I8+J8+J11+I11+J7</f>
        <v>3191.4152666666673</v>
      </c>
      <c r="N7" s="12">
        <f>M7*1.2</f>
        <v>3829.6983200000004</v>
      </c>
    </row>
    <row r="8" spans="1:16" x14ac:dyDescent="0.25">
      <c r="A8" s="1">
        <v>2</v>
      </c>
      <c r="B8" s="2" t="s">
        <v>11</v>
      </c>
      <c r="C8" s="2">
        <f>июль!C8</f>
        <v>7</v>
      </c>
      <c r="D8" s="2">
        <f>июль!D8</f>
        <v>0</v>
      </c>
      <c r="E8" s="2"/>
      <c r="F8" s="6">
        <f>июль!F8</f>
        <v>280</v>
      </c>
      <c r="G8" s="6">
        <f>июль!G8</f>
        <v>0</v>
      </c>
      <c r="H8" s="2"/>
      <c r="I8" s="10">
        <f>июль!I8</f>
        <v>652.65900833333342</v>
      </c>
      <c r="J8" s="10">
        <f>июль!J8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0</v>
      </c>
      <c r="D11" s="2">
        <f>июль!D11</f>
        <v>0</v>
      </c>
      <c r="E11" s="2"/>
      <c r="F11" s="2">
        <f>июль!F11</f>
        <v>0</v>
      </c>
      <c r="G11" s="6">
        <f>июль!G11</f>
        <v>0</v>
      </c>
      <c r="H11" s="2"/>
      <c r="I11" s="10">
        <f>июль!I11</f>
        <v>0</v>
      </c>
      <c r="J11" s="10">
        <f>июль!J11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topLeftCell="E1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август!C7+13</f>
        <v>91</v>
      </c>
      <c r="D7" s="2">
        <f>август!D7</f>
        <v>0</v>
      </c>
      <c r="E7" s="2"/>
      <c r="F7" s="6">
        <f>август!F7+177.5</f>
        <v>1124.5</v>
      </c>
      <c r="G7" s="6">
        <f>август!G7</f>
        <v>0</v>
      </c>
      <c r="H7" s="2"/>
      <c r="I7" s="14">
        <f>август!I7+596372/1000/1.2</f>
        <v>3035.7329250000003</v>
      </c>
      <c r="J7" s="10">
        <f>август!J7</f>
        <v>0</v>
      </c>
      <c r="K7" s="2"/>
      <c r="M7" s="11">
        <f>I7+I8+J8+J11+I11+J7</f>
        <v>3741.5919333333336</v>
      </c>
      <c r="N7" s="12">
        <f>M7*1.2</f>
        <v>4489.91032</v>
      </c>
    </row>
    <row r="8" spans="1:16" x14ac:dyDescent="0.25">
      <c r="A8" s="1">
        <v>2</v>
      </c>
      <c r="B8" s="2" t="s">
        <v>11</v>
      </c>
      <c r="C8" s="2">
        <f>август!C8+1</f>
        <v>8</v>
      </c>
      <c r="D8" s="2">
        <f>август!D8</f>
        <v>0</v>
      </c>
      <c r="E8" s="2"/>
      <c r="F8" s="6">
        <f>август!F8+30</f>
        <v>310</v>
      </c>
      <c r="G8" s="6">
        <f>август!G8</f>
        <v>0</v>
      </c>
      <c r="H8" s="2"/>
      <c r="I8" s="14">
        <f>август!I8+63840/1000/1.2</f>
        <v>705.85900833333346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</f>
        <v>0</v>
      </c>
      <c r="E11" s="2"/>
      <c r="F11" s="2">
        <f>август!F11</f>
        <v>0</v>
      </c>
      <c r="G11" s="6">
        <f>август!G11</f>
        <v>0</v>
      </c>
      <c r="H11" s="2"/>
      <c r="I11" s="10">
        <f>август!I11</f>
        <v>0</v>
      </c>
      <c r="J11" s="14">
        <f>август!J11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E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сентябрь!C7+14</f>
        <v>105</v>
      </c>
      <c r="D7" s="2">
        <f>сентябрь!D7</f>
        <v>0</v>
      </c>
      <c r="E7" s="2"/>
      <c r="F7" s="15">
        <f>сентябрь!F7+183</f>
        <v>1307.5</v>
      </c>
      <c r="G7" s="6">
        <f>сентябрь!G7</f>
        <v>0</v>
      </c>
      <c r="H7" s="2"/>
      <c r="I7" s="10">
        <f>сентябрь!I7+634.676/1.2</f>
        <v>3564.6295916666668</v>
      </c>
      <c r="J7" s="10">
        <f>сентябрь!J7</f>
        <v>0</v>
      </c>
      <c r="K7" s="2"/>
      <c r="M7" s="11">
        <f>I7+I8+J8+J11+I11+J7</f>
        <v>4270.4886000000006</v>
      </c>
      <c r="N7" s="12">
        <f>M7*1.2</f>
        <v>5124.5863200000003</v>
      </c>
    </row>
    <row r="8" spans="1:16" x14ac:dyDescent="0.25">
      <c r="A8" s="1">
        <v>2</v>
      </c>
      <c r="B8" s="2" t="s">
        <v>11</v>
      </c>
      <c r="C8" s="2">
        <f>сентябрь!C8</f>
        <v>8</v>
      </c>
      <c r="D8" s="2"/>
      <c r="E8" s="2"/>
      <c r="F8" s="6">
        <f>сентябрь!F8</f>
        <v>310</v>
      </c>
      <c r="G8" s="6"/>
      <c r="H8" s="2"/>
      <c r="I8" s="10">
        <f>сентябрь!I8</f>
        <v>705.85900833333346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E1" zoomScaleNormal="100" zoomScaleSheetLayoutView="100" workbookViewId="0">
      <selection activeCell="N7" sqref="N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октябрь!C7+8</f>
        <v>113</v>
      </c>
      <c r="D7" s="2">
        <f>октябрь!D7</f>
        <v>0</v>
      </c>
      <c r="E7" s="2"/>
      <c r="F7" s="10">
        <f>октябрь!F7+102</f>
        <v>1409.5</v>
      </c>
      <c r="G7" s="10">
        <f>октябрь!G7</f>
        <v>0</v>
      </c>
      <c r="H7" s="2"/>
      <c r="I7" s="10">
        <f>октябрь!I7+360.696/1.2</f>
        <v>3865.2095916666667</v>
      </c>
      <c r="J7" s="10">
        <f>октябрь!J7</f>
        <v>0</v>
      </c>
      <c r="K7" s="2"/>
      <c r="M7" s="11">
        <f>I7+I8+J8+J11+I11+J7</f>
        <v>11901.772858333334</v>
      </c>
      <c r="N7" s="12">
        <f>M7*1.2</f>
        <v>14282.12743</v>
      </c>
    </row>
    <row r="8" spans="1:16" x14ac:dyDescent="0.25">
      <c r="A8" s="1">
        <v>2</v>
      </c>
      <c r="B8" s="2" t="s">
        <v>11</v>
      </c>
      <c r="C8" s="2">
        <f>октябрь!C8+1</f>
        <v>9</v>
      </c>
      <c r="D8" s="2"/>
      <c r="E8" s="2"/>
      <c r="F8" s="10">
        <f>октябрь!F8+18.6</f>
        <v>328.6</v>
      </c>
      <c r="G8" s="10"/>
      <c r="H8" s="2"/>
      <c r="I8" s="10">
        <f>октябрь!I8+8796.84511/1.2</f>
        <v>8036.5632666666679</v>
      </c>
      <c r="J8" s="10"/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zoomScaleNormal="100" zoomScaleSheetLayoutView="100" workbookViewId="0">
      <selection activeCell="P11" sqref="P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  <col min="16" max="16" width="17.85546875" customWidth="1"/>
  </cols>
  <sheetData>
    <row r="1" spans="1:16" ht="81.75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ноябрь!C7+38</f>
        <v>151</v>
      </c>
      <c r="D7" s="2">
        <f>ноябрь!D7</f>
        <v>0</v>
      </c>
      <c r="E7" s="2"/>
      <c r="F7" s="15">
        <f>ноябрь!F7+456</f>
        <v>1865.5</v>
      </c>
      <c r="G7" s="6">
        <f>ноябрь!G7</f>
        <v>0</v>
      </c>
      <c r="H7" s="2"/>
      <c r="I7" s="10">
        <f>ноябрь!I7+1285.766/1.2</f>
        <v>4936.681258333334</v>
      </c>
      <c r="J7" s="10">
        <f>ноябрь!J7</f>
        <v>0</v>
      </c>
      <c r="K7" s="2"/>
      <c r="M7" s="11">
        <f>I7+I8+J8+J11+I11</f>
        <v>18039.869383333338</v>
      </c>
      <c r="N7" s="12">
        <f>M7*1.2</f>
        <v>21647.843260000005</v>
      </c>
    </row>
    <row r="8" spans="1:16" x14ac:dyDescent="0.25">
      <c r="A8" s="1">
        <v>2</v>
      </c>
      <c r="B8" s="2" t="s">
        <v>11</v>
      </c>
      <c r="C8" s="2">
        <f>ноябрь!C8+5</f>
        <v>14</v>
      </c>
      <c r="D8" s="2">
        <f>ноябрь!D8</f>
        <v>0</v>
      </c>
      <c r="E8" s="2"/>
      <c r="F8" s="6">
        <f>ноябрь!F8+380</f>
        <v>708.6</v>
      </c>
      <c r="G8" s="6">
        <f>ноябрь!G8</f>
        <v>0</v>
      </c>
      <c r="H8" s="2"/>
      <c r="I8" s="10">
        <f>ноябрь!I8+1039.90893/1.2</f>
        <v>8903.1540416666685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</f>
        <v>0</v>
      </c>
      <c r="D11" s="2">
        <f>ноябрь!D11+2</f>
        <v>2</v>
      </c>
      <c r="E11" s="2"/>
      <c r="F11" s="2">
        <f>ноябрь!F11</f>
        <v>0</v>
      </c>
      <c r="G11" s="6">
        <f>ноябрь!G11+1250</f>
        <v>1250</v>
      </c>
      <c r="H11" s="2"/>
      <c r="I11" s="10">
        <f>ноябрь!I11</f>
        <v>0</v>
      </c>
      <c r="J11" s="10">
        <f>ноябрь!J11+5040.0409/1.2</f>
        <v>4200.0340833333339</v>
      </c>
      <c r="K11" s="2"/>
      <c r="O11" s="11">
        <f>I7+J7+I8+J11</f>
        <v>18039.869383333338</v>
      </c>
      <c r="P11" s="9">
        <f>O11*1.2</f>
        <v>21647.843260000005</v>
      </c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2024-06-03T06:20:54Z</dcterms:modified>
</cp:coreProperties>
</file>